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0" yWindow="3000" windowWidth="15330" windowHeight="9030" activeTab="0"/>
  </bookViews>
  <sheets>
    <sheet name="TB9 up to SN 399" sheetId="1" r:id="rId1"/>
  </sheets>
  <definedNames>
    <definedName name="Prindiala" localSheetId="0">'TB9 up to SN 399'!$B$2:$N$63</definedName>
  </definedNames>
  <calcPr fullCalcOnLoad="1"/>
</workbook>
</file>

<file path=xl/sharedStrings.xml><?xml version="1.0" encoding="utf-8"?>
<sst xmlns="http://schemas.openxmlformats.org/spreadsheetml/2006/main" count="42" uniqueCount="42">
  <si>
    <t>FUEL LOAD</t>
  </si>
  <si>
    <t>FLIGHT TIME (HH MM)</t>
  </si>
  <si>
    <t>FUEL BURN RATE</t>
  </si>
  <si>
    <t>Gals/Hr</t>
  </si>
  <si>
    <t>MOMENT/1000</t>
  </si>
  <si>
    <t>BASIC EMPTY AIRPLANE</t>
  </si>
  <si>
    <t>REAR SEAT</t>
  </si>
  <si>
    <t>BAGGAGE</t>
  </si>
  <si>
    <t>LIMITS</t>
  </si>
  <si>
    <t>CofG</t>
  </si>
  <si>
    <t>FWD</t>
  </si>
  <si>
    <t>AFT</t>
  </si>
  <si>
    <t>ZERO FUEL CONDITION</t>
  </si>
  <si>
    <t>FUEL FUEL CONDITION</t>
  </si>
  <si>
    <t>LANDING</t>
  </si>
  <si>
    <t>LANDING FUEL</t>
  </si>
  <si>
    <t>Gals</t>
  </si>
  <si>
    <t>RESERVE</t>
  </si>
  <si>
    <t>HRS</t>
  </si>
  <si>
    <t>MINS</t>
  </si>
  <si>
    <t>MAX GROSS WEIGHT</t>
  </si>
  <si>
    <t>USEFUL LOAD</t>
  </si>
  <si>
    <t>Takeoff %age  of Gross</t>
  </si>
  <si>
    <t>Landing %age  of Gross</t>
  </si>
  <si>
    <t>CG Envelope</t>
  </si>
  <si>
    <t>CG</t>
  </si>
  <si>
    <t>Weight</t>
  </si>
  <si>
    <t>WARNINGS</t>
  </si>
  <si>
    <t xml:space="preserve">   WEIGHT (lbs)</t>
  </si>
  <si>
    <t>Max Takeoff Weight</t>
  </si>
  <si>
    <t>Max Landing Weight</t>
  </si>
  <si>
    <t>ARM</t>
  </si>
  <si>
    <t>Instructions</t>
  </si>
  <si>
    <t>Numbers in Blue can be changed</t>
  </si>
  <si>
    <t>TAKEOFF (MAX GROSS WT)</t>
  </si>
  <si>
    <t>Set Basic Empty Weight and arm from your Weight and Balance Records</t>
  </si>
  <si>
    <t>Taxi Fuel (Gals)</t>
  </si>
  <si>
    <r>
      <t xml:space="preserve">FRONT SEAT </t>
    </r>
    <r>
      <rPr>
        <sz val="10"/>
        <rFont val="Century Gothic"/>
        <family val="2"/>
      </rPr>
      <t>(1 kg = 2,204 naela)</t>
    </r>
  </si>
  <si>
    <t>(max 50 gal)</t>
  </si>
  <si>
    <t>ES-VPM</t>
  </si>
  <si>
    <t>PA28 Weight and Balance</t>
  </si>
  <si>
    <t xml:space="preserve">                  Refer to official data prior to flight!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</si>
</sst>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"/>
    <numFmt numFmtId="174" formatCode="0.00_)"/>
    <numFmt numFmtId="175" formatCode="0_)"/>
    <numFmt numFmtId="176" formatCode="0.000_)"/>
    <numFmt numFmtId="177" formatCode="0.0_)\ \ \ "/>
    <numFmt numFmtId="178" formatCode="0.0_)\ \ \ \ \ \ "/>
    <numFmt numFmtId="179" formatCode="0%\ \ \ \ "/>
    <numFmt numFmtId="180" formatCode="0.0_)\ \ \ \ \ \ \ \ "/>
    <numFmt numFmtId="181" formatCode="0;[Red]0"/>
    <numFmt numFmtId="182" formatCode="0.0000_)"/>
    <numFmt numFmtId="183" formatCode="0.0_)\ "/>
  </numFmts>
  <fonts count="6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LTVeto Light"/>
      <family val="0"/>
    </font>
    <font>
      <b/>
      <sz val="12"/>
      <name val="LTVeto Light"/>
      <family val="0"/>
    </font>
    <font>
      <b/>
      <sz val="10"/>
      <name val="LTVeto Light"/>
      <family val="0"/>
    </font>
    <font>
      <b/>
      <sz val="28"/>
      <name val="LTVeto Light"/>
      <family val="0"/>
    </font>
    <font>
      <b/>
      <sz val="14"/>
      <name val="LTVeto Light"/>
      <family val="0"/>
    </font>
    <font>
      <sz val="12"/>
      <name val="LTVeto Light"/>
      <family val="0"/>
    </font>
    <font>
      <sz val="10"/>
      <name val="Century Gothic"/>
      <family val="2"/>
    </font>
    <font>
      <b/>
      <sz val="20"/>
      <color indexed="12"/>
      <name val="Century Gothic"/>
      <family val="2"/>
    </font>
    <font>
      <b/>
      <sz val="28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color indexed="12"/>
      <name val="Century Gothic"/>
      <family val="2"/>
    </font>
    <font>
      <b/>
      <sz val="10"/>
      <name val="Century Gothic"/>
      <family val="2"/>
    </font>
    <font>
      <b/>
      <sz val="12"/>
      <color indexed="10"/>
      <name val="Century Gothic"/>
      <family val="2"/>
    </font>
    <font>
      <b/>
      <sz val="20"/>
      <name val="Century Gothic"/>
      <family val="2"/>
    </font>
    <font>
      <b/>
      <sz val="12"/>
      <color indexed="10"/>
      <name val="LTVeto Light"/>
      <family val="0"/>
    </font>
    <font>
      <sz val="14"/>
      <name val="LTVeto Light"/>
      <family val="0"/>
    </font>
    <font>
      <b/>
      <sz val="14"/>
      <color indexed="12"/>
      <name val="LTVeto Light"/>
      <family val="0"/>
    </font>
    <font>
      <b/>
      <sz val="14"/>
      <color indexed="10"/>
      <name val="LTVeto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name val="Century Gothic"/>
      <family val="2"/>
    </font>
    <font>
      <b/>
      <sz val="26"/>
      <name val="Century Gothic"/>
      <family val="2"/>
    </font>
    <font>
      <b/>
      <i/>
      <sz val="2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172" fontId="10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5" fillId="0" borderId="10" xfId="0" applyFont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/>
      <protection/>
    </xf>
    <xf numFmtId="0" fontId="17" fillId="33" borderId="11" xfId="0" applyFont="1" applyFill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left"/>
      <protection/>
    </xf>
    <xf numFmtId="0" fontId="17" fillId="33" borderId="11" xfId="0" applyFont="1" applyFill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 horizontal="left"/>
      <protection/>
    </xf>
    <xf numFmtId="0" fontId="15" fillId="0" borderId="14" xfId="0" applyFont="1" applyFill="1" applyBorder="1" applyAlignment="1" applyProtection="1">
      <alignment horizontal="right"/>
      <protection/>
    </xf>
    <xf numFmtId="0" fontId="18" fillId="0" borderId="15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/>
      <protection/>
    </xf>
    <xf numFmtId="0" fontId="16" fillId="0" borderId="14" xfId="0" applyFont="1" applyBorder="1" applyAlignment="1" applyProtection="1">
      <alignment horizontal="left"/>
      <protection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right"/>
      <protection/>
    </xf>
    <xf numFmtId="0" fontId="15" fillId="0" borderId="16" xfId="0" applyFont="1" applyBorder="1" applyAlignment="1" applyProtection="1">
      <alignment horizontal="left"/>
      <protection/>
    </xf>
    <xf numFmtId="0" fontId="16" fillId="0" borderId="17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right"/>
      <protection/>
    </xf>
    <xf numFmtId="0" fontId="16" fillId="0" borderId="18" xfId="0" applyFont="1" applyBorder="1" applyAlignment="1" applyProtection="1">
      <alignment horizontal="center"/>
      <protection/>
    </xf>
    <xf numFmtId="177" fontId="19" fillId="0" borderId="11" xfId="0" applyNumberFormat="1" applyFont="1" applyFill="1" applyBorder="1" applyAlignment="1" applyProtection="1">
      <alignment/>
      <protection/>
    </xf>
    <xf numFmtId="180" fontId="16" fillId="0" borderId="11" xfId="0" applyNumberFormat="1" applyFont="1" applyBorder="1" applyAlignment="1" applyProtection="1">
      <alignment horizontal="right"/>
      <protection/>
    </xf>
    <xf numFmtId="0" fontId="16" fillId="0" borderId="12" xfId="0" applyFont="1" applyBorder="1" applyAlignment="1" applyProtection="1">
      <alignment/>
      <protection/>
    </xf>
    <xf numFmtId="177" fontId="17" fillId="33" borderId="14" xfId="0" applyNumberFormat="1" applyFont="1" applyFill="1" applyBorder="1" applyAlignment="1" applyProtection="1">
      <alignment/>
      <protection locked="0"/>
    </xf>
    <xf numFmtId="180" fontId="16" fillId="0" borderId="14" xfId="0" applyNumberFormat="1" applyFont="1" applyBorder="1" applyAlignment="1" applyProtection="1">
      <alignment horizontal="right"/>
      <protection/>
    </xf>
    <xf numFmtId="0" fontId="16" fillId="0" borderId="14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/>
      <protection/>
    </xf>
    <xf numFmtId="177" fontId="17" fillId="33" borderId="17" xfId="0" applyNumberFormat="1" applyFont="1" applyFill="1" applyBorder="1" applyAlignment="1" applyProtection="1">
      <alignment/>
      <protection locked="0"/>
    </xf>
    <xf numFmtId="180" fontId="16" fillId="0" borderId="17" xfId="0" applyNumberFormat="1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/>
      <protection/>
    </xf>
    <xf numFmtId="177" fontId="16" fillId="0" borderId="11" xfId="0" applyNumberFormat="1" applyFont="1" applyFill="1" applyBorder="1" applyAlignment="1" applyProtection="1">
      <alignment/>
      <protection locked="0"/>
    </xf>
    <xf numFmtId="0" fontId="16" fillId="0" borderId="11" xfId="0" applyFont="1" applyBorder="1" applyAlignment="1" applyProtection="1">
      <alignment horizontal="center"/>
      <protection/>
    </xf>
    <xf numFmtId="177" fontId="16" fillId="0" borderId="14" xfId="0" applyNumberFormat="1" applyFont="1" applyFill="1" applyBorder="1" applyAlignment="1" applyProtection="1">
      <alignment/>
      <protection locked="0"/>
    </xf>
    <xf numFmtId="177" fontId="16" fillId="0" borderId="14" xfId="0" applyNumberFormat="1" applyFont="1" applyBorder="1" applyAlignment="1" applyProtection="1">
      <alignment/>
      <protection locked="0"/>
    </xf>
    <xf numFmtId="177" fontId="16" fillId="0" borderId="17" xfId="0" applyNumberFormat="1" applyFont="1" applyBorder="1" applyAlignment="1" applyProtection="1">
      <alignment/>
      <protection/>
    </xf>
    <xf numFmtId="177" fontId="16" fillId="0" borderId="11" xfId="0" applyNumberFormat="1" applyFont="1" applyBorder="1" applyAlignment="1" applyProtection="1">
      <alignment/>
      <protection/>
    </xf>
    <xf numFmtId="0" fontId="15" fillId="0" borderId="11" xfId="0" applyFont="1" applyBorder="1" applyAlignment="1" applyProtection="1">
      <alignment horizontal="center"/>
      <protection/>
    </xf>
    <xf numFmtId="177" fontId="16" fillId="0" borderId="14" xfId="0" applyNumberFormat="1" applyFont="1" applyBorder="1" applyAlignment="1" applyProtection="1">
      <alignment/>
      <protection/>
    </xf>
    <xf numFmtId="172" fontId="16" fillId="0" borderId="14" xfId="0" applyNumberFormat="1" applyFont="1" applyBorder="1" applyAlignment="1" applyProtection="1">
      <alignment horizontal="center"/>
      <protection/>
    </xf>
    <xf numFmtId="173" fontId="16" fillId="0" borderId="14" xfId="0" applyNumberFormat="1" applyFont="1" applyBorder="1" applyAlignment="1" applyProtection="1">
      <alignment horizontal="center"/>
      <protection/>
    </xf>
    <xf numFmtId="172" fontId="16" fillId="0" borderId="17" xfId="0" applyNumberFormat="1" applyFont="1" applyBorder="1" applyAlignment="1" applyProtection="1">
      <alignment horizontal="center"/>
      <protection/>
    </xf>
    <xf numFmtId="173" fontId="16" fillId="0" borderId="17" xfId="0" applyNumberFormat="1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left"/>
      <protection/>
    </xf>
    <xf numFmtId="172" fontId="16" fillId="0" borderId="11" xfId="0" applyNumberFormat="1" applyFont="1" applyBorder="1" applyAlignment="1" applyProtection="1">
      <alignment/>
      <protection/>
    </xf>
    <xf numFmtId="172" fontId="16" fillId="0" borderId="11" xfId="0" applyNumberFormat="1" applyFont="1" applyBorder="1" applyAlignment="1" applyProtection="1">
      <alignment horizontal="center"/>
      <protection/>
    </xf>
    <xf numFmtId="173" fontId="16" fillId="0" borderId="11" xfId="0" applyNumberFormat="1" applyFont="1" applyBorder="1" applyAlignment="1" applyProtection="1">
      <alignment/>
      <protection/>
    </xf>
    <xf numFmtId="0" fontId="16" fillId="0" borderId="13" xfId="0" applyFont="1" applyBorder="1" applyAlignment="1" applyProtection="1">
      <alignment horizontal="left"/>
      <protection/>
    </xf>
    <xf numFmtId="179" fontId="16" fillId="0" borderId="14" xfId="57" applyNumberFormat="1" applyFont="1" applyBorder="1" applyAlignment="1" applyProtection="1">
      <alignment/>
      <protection/>
    </xf>
    <xf numFmtId="175" fontId="16" fillId="0" borderId="14" xfId="0" applyNumberFormat="1" applyFont="1" applyBorder="1" applyAlignment="1" applyProtection="1">
      <alignment horizontal="right"/>
      <protection/>
    </xf>
    <xf numFmtId="172" fontId="16" fillId="0" borderId="14" xfId="0" applyNumberFormat="1" applyFont="1" applyBorder="1" applyAlignment="1" applyProtection="1">
      <alignment/>
      <protection/>
    </xf>
    <xf numFmtId="172" fontId="15" fillId="0" borderId="14" xfId="0" applyNumberFormat="1" applyFont="1" applyFill="1" applyBorder="1" applyAlignment="1" applyProtection="1">
      <alignment horizontal="center"/>
      <protection/>
    </xf>
    <xf numFmtId="1" fontId="16" fillId="0" borderId="14" xfId="0" applyNumberFormat="1" applyFont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 horizontal="center"/>
      <protection/>
    </xf>
    <xf numFmtId="172" fontId="15" fillId="0" borderId="14" xfId="0" applyNumberFormat="1" applyFont="1" applyBorder="1" applyAlignment="1" applyProtection="1">
      <alignment/>
      <protection/>
    </xf>
    <xf numFmtId="0" fontId="16" fillId="0" borderId="16" xfId="0" applyFont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center"/>
      <protection/>
    </xf>
    <xf numFmtId="172" fontId="15" fillId="0" borderId="17" xfId="0" applyNumberFormat="1" applyFont="1" applyBorder="1" applyAlignment="1" applyProtection="1">
      <alignment/>
      <protection/>
    </xf>
    <xf numFmtId="172" fontId="16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centerContinuous"/>
      <protection/>
    </xf>
    <xf numFmtId="0" fontId="15" fillId="0" borderId="20" xfId="0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9" fillId="0" borderId="24" xfId="0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20" fillId="0" borderId="0" xfId="0" applyFont="1" applyAlignment="1">
      <alignment/>
    </xf>
    <xf numFmtId="0" fontId="19" fillId="0" borderId="14" xfId="0" applyFont="1" applyFill="1" applyBorder="1" applyAlignment="1" applyProtection="1">
      <alignment horizontal="center"/>
      <protection hidden="1" locked="0"/>
    </xf>
    <xf numFmtId="0" fontId="9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19" fillId="0" borderId="11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 horizontal="left"/>
    </xf>
    <xf numFmtId="0" fontId="15" fillId="0" borderId="17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Continuous"/>
      <protection/>
    </xf>
    <xf numFmtId="0" fontId="44" fillId="0" borderId="0" xfId="0" applyFont="1" applyAlignment="1" applyProtection="1">
      <alignment/>
      <protection/>
    </xf>
    <xf numFmtId="0" fontId="63" fillId="0" borderId="0" xfId="0" applyFont="1" applyAlignment="1">
      <alignment/>
    </xf>
    <xf numFmtId="0" fontId="45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0825"/>
          <c:w val="0.77425"/>
          <c:h val="0.964"/>
        </c:manualLayout>
      </c:layout>
      <c:scatterChart>
        <c:scatterStyle val="lineMarker"/>
        <c:varyColors val="0"/>
        <c:ser>
          <c:idx val="0"/>
          <c:order val="0"/>
          <c:tx>
            <c:v>Weight Envelope</c:v>
          </c:tx>
          <c:spPr>
            <a:ln w="381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'TB9 up to SN 399'!$C$40:$C$44</c:f>
              <c:numCache/>
            </c:numRef>
          </c:xVal>
          <c:yVal>
            <c:numRef>
              <c:f>'TB9 up to SN 399'!$D$40:$D$44</c:f>
              <c:numCache/>
            </c:numRef>
          </c:yVal>
          <c:smooth val="0"/>
        </c:ser>
        <c:ser>
          <c:idx val="1"/>
          <c:order val="1"/>
          <c:tx>
            <c:v>Take-off Weight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'TB9 up to SN 399'!$G$24</c:f>
              <c:numCache/>
            </c:numRef>
          </c:xVal>
          <c:yVal>
            <c:numRef>
              <c:f>'TB9 up to SN 399'!$E$24</c:f>
              <c:numCache/>
            </c:numRef>
          </c:yVal>
          <c:smooth val="0"/>
        </c:ser>
        <c:ser>
          <c:idx val="2"/>
          <c:order val="2"/>
          <c:tx>
            <c:v>Zero Fuel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'TB9 up to SN 399'!$G$22</c:f>
              <c:numCache/>
            </c:numRef>
          </c:xVal>
          <c:yVal>
            <c:numRef>
              <c:f>'TB9 up to SN 399'!$E$22</c:f>
              <c:numCache/>
            </c:numRef>
          </c:yVal>
          <c:smooth val="0"/>
        </c:ser>
        <c:ser>
          <c:idx val="3"/>
          <c:order val="3"/>
          <c:tx>
            <c:v>Landing Weight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'TB9 up to SN 399'!$G$25</c:f>
              <c:numCache/>
            </c:numRef>
          </c:xVal>
          <c:yVal>
            <c:numRef>
              <c:f>'TB9 up to SN 399'!$E$25</c:f>
              <c:numCache/>
            </c:numRef>
          </c:yVal>
          <c:smooth val="0"/>
        </c:ser>
        <c:axId val="57039469"/>
        <c:axId val="43593174"/>
      </c:scatterChart>
      <c:valAx>
        <c:axId val="57039469"/>
        <c:scaling>
          <c:orientation val="minMax"/>
          <c:max val="97"/>
          <c:min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 of G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A6CAF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3174"/>
        <c:crosses val="autoZero"/>
        <c:crossBetween val="midCat"/>
        <c:dispUnits/>
        <c:majorUnit val="1"/>
      </c:valAx>
      <c:valAx>
        <c:axId val="43593174"/>
        <c:scaling>
          <c:orientation val="minMax"/>
          <c:max val="28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9469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1"/>
          <c:w val="0.19525"/>
          <c:h val="0.3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0.21475</cdr:y>
    </cdr:from>
    <cdr:to>
      <cdr:x>0.371</cdr:x>
      <cdr:y>0.439</cdr:y>
    </cdr:to>
    <cdr:sp>
      <cdr:nvSpPr>
        <cdr:cNvPr id="1" name="Straight Connector 2"/>
        <cdr:cNvSpPr>
          <a:spLocks/>
        </cdr:cNvSpPr>
      </cdr:nvSpPr>
      <cdr:spPr>
        <a:xfrm flipH="1">
          <a:off x="1066800" y="1066800"/>
          <a:ext cx="2143125" cy="1114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0.621</cdr:x>
      <cdr:y>0.2165</cdr:y>
    </cdr:from>
    <cdr:to>
      <cdr:x>0.62225</cdr:x>
      <cdr:y>0.91775</cdr:y>
    </cdr:to>
    <cdr:sp>
      <cdr:nvSpPr>
        <cdr:cNvPr id="2" name="Straight Connector 4"/>
        <cdr:cNvSpPr>
          <a:spLocks/>
        </cdr:cNvSpPr>
      </cdr:nvSpPr>
      <cdr:spPr>
        <a:xfrm flipH="1">
          <a:off x="5381625" y="1076325"/>
          <a:ext cx="9525" cy="3486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0.36875</cdr:x>
      <cdr:y>0.2165</cdr:y>
    </cdr:from>
    <cdr:to>
      <cdr:x>0.62225</cdr:x>
      <cdr:y>0.2165</cdr:y>
    </cdr:to>
    <cdr:sp>
      <cdr:nvSpPr>
        <cdr:cNvPr id="3" name="Straight Connector 6"/>
        <cdr:cNvSpPr>
          <a:spLocks/>
        </cdr:cNvSpPr>
      </cdr:nvSpPr>
      <cdr:spPr>
        <a:xfrm>
          <a:off x="3190875" y="1076325"/>
          <a:ext cx="2200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0.12325</cdr:x>
      <cdr:y>0.439</cdr:y>
    </cdr:from>
    <cdr:to>
      <cdr:x>0.12325</cdr:x>
      <cdr:y>0.9185</cdr:y>
    </cdr:to>
    <cdr:sp>
      <cdr:nvSpPr>
        <cdr:cNvPr id="4" name="Straight Connector 12"/>
        <cdr:cNvSpPr>
          <a:spLocks/>
        </cdr:cNvSpPr>
      </cdr:nvSpPr>
      <cdr:spPr>
        <a:xfrm flipV="1">
          <a:off x="1066800" y="2181225"/>
          <a:ext cx="0" cy="2381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32</xdr:row>
      <xdr:rowOff>9525</xdr:rowOff>
    </xdr:from>
    <xdr:to>
      <xdr:col>12</xdr:col>
      <xdr:colOff>542925</xdr:colOff>
      <xdr:row>61</xdr:row>
      <xdr:rowOff>180975</xdr:rowOff>
    </xdr:to>
    <xdr:graphicFrame>
      <xdr:nvGraphicFramePr>
        <xdr:cNvPr id="1" name="Chart 1"/>
        <xdr:cNvGraphicFramePr/>
      </xdr:nvGraphicFramePr>
      <xdr:xfrm>
        <a:off x="723900" y="7315200"/>
        <a:ext cx="86677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504825</xdr:colOff>
      <xdr:row>0</xdr:row>
      <xdr:rowOff>104775</xdr:rowOff>
    </xdr:from>
    <xdr:to>
      <xdr:col>2</xdr:col>
      <xdr:colOff>476250</xdr:colOff>
      <xdr:row>4</xdr:row>
      <xdr:rowOff>238125</xdr:rowOff>
    </xdr:to>
    <xdr:pic>
      <xdr:nvPicPr>
        <xdr:cNvPr id="2" name="Picture 15" descr="vaheg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04775"/>
          <a:ext cx="1514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B2:Q68"/>
  <sheetViews>
    <sheetView showGridLines="0" showRowColHeaders="0" tabSelected="1" zoomScalePageLayoutView="0" workbookViewId="0" topLeftCell="A2">
      <selection activeCell="H6" sqref="H6"/>
    </sheetView>
  </sheetViews>
  <sheetFormatPr defaultColWidth="9.625" defaultRowHeight="12.75"/>
  <cols>
    <col min="1" max="1" width="9.625" style="1" customWidth="1"/>
    <col min="2" max="2" width="10.625" style="1" customWidth="1"/>
    <col min="3" max="3" width="11.25390625" style="1" customWidth="1"/>
    <col min="4" max="4" width="9.375" style="1" customWidth="1"/>
    <col min="5" max="5" width="15.00390625" style="1" customWidth="1"/>
    <col min="6" max="6" width="16.125" style="1" customWidth="1"/>
    <col min="7" max="7" width="7.25390625" style="3" customWidth="1"/>
    <col min="8" max="8" width="8.50390625" style="1" customWidth="1"/>
    <col min="9" max="10" width="6.625" style="1" customWidth="1"/>
    <col min="11" max="11" width="13.50390625" style="1" customWidth="1"/>
    <col min="12" max="12" width="1.625" style="1" customWidth="1"/>
    <col min="13" max="13" width="10.25390625" style="1" customWidth="1"/>
    <col min="14" max="16384" width="9.625" style="1" customWidth="1"/>
  </cols>
  <sheetData>
    <row r="1" ht="12.75"/>
    <row r="2" spans="2:14" ht="25.5">
      <c r="B2" s="28"/>
      <c r="C2" s="29"/>
      <c r="D2" s="29"/>
      <c r="E2" s="29"/>
      <c r="F2" s="29"/>
      <c r="G2" s="30"/>
      <c r="H2" s="29"/>
      <c r="I2" s="29"/>
      <c r="J2" s="29"/>
      <c r="K2" s="29"/>
      <c r="L2" s="6"/>
      <c r="M2" s="6"/>
      <c r="N2" s="6"/>
    </row>
    <row r="3" spans="2:14" ht="36.75">
      <c r="B3" s="105"/>
      <c r="C3" s="31"/>
      <c r="D3" s="31"/>
      <c r="E3" s="31" t="s">
        <v>40</v>
      </c>
      <c r="F3" s="31"/>
      <c r="G3" s="31"/>
      <c r="H3" s="31"/>
      <c r="I3" s="31"/>
      <c r="J3" s="31"/>
      <c r="K3" s="31"/>
      <c r="L3" s="27"/>
      <c r="M3" s="27"/>
      <c r="N3" s="27"/>
    </row>
    <row r="4" spans="2:14" ht="36.75">
      <c r="B4" s="105"/>
      <c r="C4" s="31"/>
      <c r="D4" s="31"/>
      <c r="E4" s="121" t="s">
        <v>41</v>
      </c>
      <c r="F4" s="31"/>
      <c r="G4" s="31"/>
      <c r="H4" s="31"/>
      <c r="I4" s="31"/>
      <c r="J4" s="31"/>
      <c r="K4" s="31"/>
      <c r="L4" s="27"/>
      <c r="M4" s="27"/>
      <c r="N4" s="27"/>
    </row>
    <row r="5" spans="2:14" ht="32.25">
      <c r="B5" s="29"/>
      <c r="C5" s="32"/>
      <c r="D5" s="32"/>
      <c r="E5" s="120"/>
      <c r="F5" s="122" t="s">
        <v>39</v>
      </c>
      <c r="G5" s="32"/>
      <c r="H5" s="32"/>
      <c r="I5" s="32"/>
      <c r="J5" s="32"/>
      <c r="K5" s="32"/>
      <c r="L5" s="26"/>
      <c r="M5" s="26"/>
      <c r="N5" s="26"/>
    </row>
    <row r="6" spans="2:14" ht="19.5" customHeight="1">
      <c r="B6" s="104"/>
      <c r="C6" s="33"/>
      <c r="D6" s="33"/>
      <c r="E6" s="33"/>
      <c r="F6" s="119"/>
      <c r="G6" s="34"/>
      <c r="H6" s="33"/>
      <c r="I6" s="33"/>
      <c r="J6" s="33"/>
      <c r="K6" s="33"/>
      <c r="L6" s="8"/>
      <c r="M6" s="8"/>
      <c r="N6" s="8"/>
    </row>
    <row r="7" spans="2:14" ht="14.25" thickBot="1">
      <c r="B7" s="35"/>
      <c r="C7" s="35"/>
      <c r="D7" s="35"/>
      <c r="E7" s="35"/>
      <c r="F7" s="35"/>
      <c r="G7" s="34"/>
      <c r="H7" s="35"/>
      <c r="I7" s="35"/>
      <c r="J7" s="35"/>
      <c r="K7" s="35"/>
      <c r="L7" s="8"/>
      <c r="M7" s="8"/>
      <c r="N7" s="8"/>
    </row>
    <row r="8" spans="2:14" s="2" customFormat="1" ht="15.75" customHeight="1">
      <c r="B8" s="36" t="s">
        <v>0</v>
      </c>
      <c r="C8" s="37"/>
      <c r="D8" s="38">
        <v>25</v>
      </c>
      <c r="E8" s="39" t="s">
        <v>1</v>
      </c>
      <c r="F8" s="37"/>
      <c r="G8" s="38">
        <v>1</v>
      </c>
      <c r="H8" s="40"/>
      <c r="I8" s="37"/>
      <c r="J8" s="37"/>
      <c r="K8" s="41"/>
      <c r="L8" s="10"/>
      <c r="M8" s="10"/>
      <c r="N8" s="10"/>
    </row>
    <row r="9" spans="2:14" s="2" customFormat="1" ht="15.75" customHeight="1">
      <c r="B9" s="42" t="s">
        <v>38</v>
      </c>
      <c r="C9" s="43"/>
      <c r="D9" s="43"/>
      <c r="E9" s="44" t="s">
        <v>2</v>
      </c>
      <c r="F9" s="43"/>
      <c r="G9" s="106">
        <v>10</v>
      </c>
      <c r="H9" s="45" t="s">
        <v>3</v>
      </c>
      <c r="I9" s="43"/>
      <c r="J9" s="43"/>
      <c r="K9" s="46"/>
      <c r="L9" s="10"/>
      <c r="M9" s="10"/>
      <c r="N9" s="10"/>
    </row>
    <row r="10" spans="2:14" s="2" customFormat="1" ht="15.75" customHeight="1">
      <c r="B10" s="47"/>
      <c r="C10" s="43"/>
      <c r="D10" s="43"/>
      <c r="E10" s="48"/>
      <c r="F10" s="43"/>
      <c r="G10" s="49"/>
      <c r="H10" s="50"/>
      <c r="I10" s="43"/>
      <c r="J10" s="43"/>
      <c r="K10" s="46"/>
      <c r="L10" s="10"/>
      <c r="M10" s="10"/>
      <c r="N10" s="10"/>
    </row>
    <row r="11" spans="2:14" s="2" customFormat="1" ht="15.75" customHeight="1" thickBot="1">
      <c r="B11" s="51"/>
      <c r="C11" s="52"/>
      <c r="D11" s="52"/>
      <c r="E11" s="53" t="s">
        <v>28</v>
      </c>
      <c r="F11" s="54" t="s">
        <v>4</v>
      </c>
      <c r="G11" s="53" t="s">
        <v>31</v>
      </c>
      <c r="H11" s="52"/>
      <c r="I11" s="52"/>
      <c r="J11" s="52"/>
      <c r="K11" s="55"/>
      <c r="L11" s="12"/>
      <c r="M11" s="12"/>
      <c r="N11" s="12"/>
    </row>
    <row r="12" spans="2:14" s="2" customFormat="1" ht="15.75" customHeight="1">
      <c r="B12" s="36" t="s">
        <v>5</v>
      </c>
      <c r="C12" s="37"/>
      <c r="D12" s="37"/>
      <c r="E12" s="56">
        <v>1592</v>
      </c>
      <c r="F12" s="57">
        <f>(E12*G12)/1000</f>
        <v>138.1856</v>
      </c>
      <c r="G12" s="115">
        <v>86.8</v>
      </c>
      <c r="H12" s="37"/>
      <c r="I12" s="37"/>
      <c r="J12" s="37"/>
      <c r="K12" s="58"/>
      <c r="L12" s="12"/>
      <c r="M12" s="12"/>
      <c r="N12" s="12"/>
    </row>
    <row r="13" spans="2:14" s="2" customFormat="1" ht="15.75" customHeight="1">
      <c r="B13" s="47" t="s">
        <v>37</v>
      </c>
      <c r="C13" s="43"/>
      <c r="D13" s="43"/>
      <c r="E13" s="59">
        <v>352</v>
      </c>
      <c r="F13" s="60">
        <f>(E13*80.5)/1000</f>
        <v>28.336</v>
      </c>
      <c r="G13" s="61"/>
      <c r="H13" s="43"/>
      <c r="I13" s="43"/>
      <c r="J13" s="43"/>
      <c r="K13" s="62"/>
      <c r="L13" s="12"/>
      <c r="M13" s="12"/>
      <c r="N13" s="12"/>
    </row>
    <row r="14" spans="2:14" s="2" customFormat="1" ht="15.75" customHeight="1">
      <c r="B14" s="47" t="s">
        <v>6</v>
      </c>
      <c r="C14" s="43"/>
      <c r="D14" s="43"/>
      <c r="E14" s="59">
        <v>352</v>
      </c>
      <c r="F14" s="60">
        <f>(E14*118.1)/1000</f>
        <v>41.5712</v>
      </c>
      <c r="G14" s="61"/>
      <c r="H14" s="43"/>
      <c r="I14" s="43"/>
      <c r="J14" s="43"/>
      <c r="K14" s="62"/>
      <c r="L14" s="12"/>
      <c r="M14" s="12">
        <f>IF(E14&gt;386,"BAGGAGE AREA OVER 386lbs","")</f>
      </c>
      <c r="N14" s="12"/>
    </row>
    <row r="15" spans="2:14" s="2" customFormat="1" ht="15.75" customHeight="1" thickBot="1">
      <c r="B15" s="51" t="s">
        <v>7</v>
      </c>
      <c r="C15" s="52"/>
      <c r="D15" s="52"/>
      <c r="E15" s="63">
        <v>50</v>
      </c>
      <c r="F15" s="64">
        <f>(E15*142.8)/1000</f>
        <v>7.140000000000001</v>
      </c>
      <c r="G15" s="65"/>
      <c r="H15" s="52"/>
      <c r="I15" s="52"/>
      <c r="J15" s="52"/>
      <c r="K15" s="66"/>
      <c r="L15" s="12"/>
      <c r="M15" s="12">
        <f>IF(E15&gt;88,"BAGGAGE AREA OVER 88lbs","")</f>
      </c>
      <c r="N15" s="12"/>
    </row>
    <row r="16" spans="2:14" s="2" customFormat="1" ht="15.75" customHeight="1">
      <c r="B16" s="36"/>
      <c r="C16" s="37"/>
      <c r="D16" s="37"/>
      <c r="E16" s="67"/>
      <c r="F16" s="57"/>
      <c r="G16" s="68"/>
      <c r="H16" s="37"/>
      <c r="I16" s="37"/>
      <c r="J16" s="37"/>
      <c r="K16" s="58"/>
      <c r="L16" s="12"/>
      <c r="M16" s="12"/>
      <c r="N16" s="12"/>
    </row>
    <row r="17" spans="2:14" s="2" customFormat="1" ht="15.75" customHeight="1">
      <c r="B17" s="47" t="s">
        <v>36</v>
      </c>
      <c r="C17" s="43"/>
      <c r="D17" s="43"/>
      <c r="E17" s="69">
        <v>0.6</v>
      </c>
      <c r="F17" s="60"/>
      <c r="G17" s="61"/>
      <c r="H17" s="43"/>
      <c r="I17" s="43"/>
      <c r="J17" s="43"/>
      <c r="K17" s="62"/>
      <c r="L17" s="12"/>
      <c r="M17" s="12"/>
      <c r="N17" s="12"/>
    </row>
    <row r="18" spans="2:14" s="2" customFormat="1" ht="15.75" customHeight="1">
      <c r="B18" s="47"/>
      <c r="C18" s="43"/>
      <c r="D18" s="43"/>
      <c r="E18" s="69"/>
      <c r="F18" s="60"/>
      <c r="G18" s="61"/>
      <c r="H18" s="43"/>
      <c r="I18" s="43"/>
      <c r="J18" s="43"/>
      <c r="K18" s="62"/>
      <c r="L18" s="12"/>
      <c r="M18" s="12"/>
      <c r="N18" s="12"/>
    </row>
    <row r="19" spans="2:17" s="2" customFormat="1" ht="15.75" customHeight="1" thickBot="1">
      <c r="B19" s="47" t="s">
        <v>29</v>
      </c>
      <c r="C19" s="43"/>
      <c r="D19" s="43"/>
      <c r="E19" s="70">
        <v>2450</v>
      </c>
      <c r="F19" s="60"/>
      <c r="G19" s="61"/>
      <c r="H19" s="43"/>
      <c r="I19" s="43"/>
      <c r="J19" s="43"/>
      <c r="K19" s="99"/>
      <c r="L19" s="12"/>
      <c r="M19" s="12"/>
      <c r="N19" s="12"/>
      <c r="O19" s="5"/>
      <c r="P19" s="5"/>
      <c r="Q19" s="5"/>
    </row>
    <row r="20" spans="2:17" s="2" customFormat="1" ht="15.75" customHeight="1" thickBot="1">
      <c r="B20" s="51" t="s">
        <v>30</v>
      </c>
      <c r="C20" s="52"/>
      <c r="D20" s="52"/>
      <c r="E20" s="71">
        <v>2450</v>
      </c>
      <c r="F20" s="64"/>
      <c r="G20" s="53"/>
      <c r="H20" s="118" t="s">
        <v>8</v>
      </c>
      <c r="I20" s="118"/>
      <c r="J20" s="95"/>
      <c r="K20" s="103" t="s">
        <v>27</v>
      </c>
      <c r="L20" s="12"/>
      <c r="M20" s="12"/>
      <c r="N20" s="12"/>
      <c r="O20" s="5"/>
      <c r="P20" s="5"/>
      <c r="Q20" s="5"/>
    </row>
    <row r="21" spans="2:17" s="2" customFormat="1" ht="15.75" customHeight="1">
      <c r="B21" s="36"/>
      <c r="C21" s="37"/>
      <c r="D21" s="37"/>
      <c r="E21" s="72"/>
      <c r="F21" s="57"/>
      <c r="G21" s="73" t="s">
        <v>9</v>
      </c>
      <c r="H21" s="73" t="s">
        <v>10</v>
      </c>
      <c r="I21" s="73" t="s">
        <v>11</v>
      </c>
      <c r="J21" s="96"/>
      <c r="K21" s="100"/>
      <c r="L21" s="13"/>
      <c r="M21" s="12"/>
      <c r="N21" s="12"/>
      <c r="O21" s="5"/>
      <c r="P21" s="5"/>
      <c r="Q21" s="5"/>
    </row>
    <row r="22" spans="2:17" s="2" customFormat="1" ht="15.75" customHeight="1">
      <c r="B22" s="47" t="s">
        <v>12</v>
      </c>
      <c r="C22" s="43"/>
      <c r="D22" s="43"/>
      <c r="E22" s="74">
        <f>SUM(E12:E15)</f>
        <v>2346</v>
      </c>
      <c r="F22" s="60">
        <f>SUM(F12:F20)</f>
        <v>215.2328</v>
      </c>
      <c r="G22" s="75">
        <f>F22/E22*1000</f>
        <v>91.74458653026429</v>
      </c>
      <c r="H22" s="76">
        <f>IF(E22&lt;2050,82,(E22-2050)*(87.5-82)/(2450-2050)+82)</f>
        <v>86.07</v>
      </c>
      <c r="I22" s="61">
        <v>93</v>
      </c>
      <c r="J22" s="97"/>
      <c r="K22" s="101">
        <f>IF(G22&lt;H22,"CG OUT FWD",IF(G22&gt;I22,"CG OUT AFT",""))</f>
      </c>
      <c r="L22" s="12"/>
      <c r="M22" s="12"/>
      <c r="N22" s="12"/>
      <c r="O22" s="5"/>
      <c r="P22" s="5"/>
      <c r="Q22" s="5"/>
    </row>
    <row r="23" spans="2:17" s="2" customFormat="1" ht="15.75" customHeight="1">
      <c r="B23" s="47" t="s">
        <v>13</v>
      </c>
      <c r="C23" s="43"/>
      <c r="D23" s="43"/>
      <c r="E23" s="74">
        <f>(E22)+(D8*6)</f>
        <v>2496</v>
      </c>
      <c r="F23" s="60">
        <f>(F22)+(((D8*6)*95)/1000)</f>
        <v>229.4828</v>
      </c>
      <c r="G23" s="75">
        <f>F23/E23*1000</f>
        <v>91.94022435897435</v>
      </c>
      <c r="H23" s="76">
        <f>IF(E23&lt;2050,82,(E23-2050)*(87.5-82)/(2450-2050)+82)</f>
        <v>88.1325</v>
      </c>
      <c r="I23" s="61">
        <v>93</v>
      </c>
      <c r="J23" s="97"/>
      <c r="K23" s="101">
        <f>IF(G23&lt;H23,"CG OUT FWD",IF(G23&gt;I23,"CG OUT AFT",""))</f>
      </c>
      <c r="L23" s="12"/>
      <c r="M23" s="12">
        <f>IF($E$23&gt;3097,"MAX RAMP WT OVER 3097","")</f>
      </c>
      <c r="N23" s="12"/>
      <c r="O23" s="5"/>
      <c r="P23" s="5"/>
      <c r="Q23" s="5"/>
    </row>
    <row r="24" spans="2:17" s="2" customFormat="1" ht="15.75" customHeight="1">
      <c r="B24" s="47" t="s">
        <v>34</v>
      </c>
      <c r="C24" s="43"/>
      <c r="D24" s="43"/>
      <c r="E24" s="74">
        <f>(E22)+((D8-$E$17)*6)</f>
        <v>2492.4</v>
      </c>
      <c r="F24" s="60">
        <f>(F22)+((((D8-$E$17)*6)*95)/1000)</f>
        <v>229.14079999999998</v>
      </c>
      <c r="G24" s="75">
        <f>F24/E24*1000</f>
        <v>91.93580484673407</v>
      </c>
      <c r="H24" s="76">
        <f>IF(E24&lt;2050,82,(E24-2050)*(87.5-82)/(2450-2050)+82)</f>
        <v>88.083</v>
      </c>
      <c r="I24" s="61">
        <v>93</v>
      </c>
      <c r="J24" s="97"/>
      <c r="K24" s="101">
        <f>IF(G24&lt;H24,"CG OUT FWD",IF(G24&gt;I24,"CG OUT AFT",""))</f>
      </c>
      <c r="L24" s="12"/>
      <c r="M24" s="12">
        <f>IF($E$24&gt;3086,"MAX T/O WT OVER 3086","")</f>
      </c>
      <c r="N24" s="12"/>
      <c r="O24" s="5"/>
      <c r="P24" s="5"/>
      <c r="Q24" s="5"/>
    </row>
    <row r="25" spans="2:17" s="2" customFormat="1" ht="15.75" customHeight="1" thickBot="1">
      <c r="B25" s="51" t="s">
        <v>14</v>
      </c>
      <c r="C25" s="52"/>
      <c r="D25" s="52"/>
      <c r="E25" s="71">
        <f>E22+(D30*6)</f>
        <v>2432.4</v>
      </c>
      <c r="F25" s="64">
        <f>(F22)+(((D8-1.7-((G8+H8/60)*G9))*6)*95)/1000</f>
        <v>222.8138</v>
      </c>
      <c r="G25" s="77">
        <f>F25/E25*1000</f>
        <v>91.60245025489228</v>
      </c>
      <c r="H25" s="78">
        <f>IF(E25&lt;2050,82,(E25-2050)*(87.5-82)/(2450-2050)+82)</f>
        <v>87.258</v>
      </c>
      <c r="I25" s="65">
        <v>93</v>
      </c>
      <c r="J25" s="98"/>
      <c r="K25" s="102">
        <f>IF(G25&lt;H25,"CG OUT FWD",IF(G25&gt;I25,"CG OUT AFT",""))</f>
      </c>
      <c r="L25" s="12"/>
      <c r="M25" s="12">
        <f>IF($E$25&gt;3086,"MAX LANDING WT OVER 3086","")</f>
      </c>
      <c r="N25" s="12"/>
      <c r="O25" s="5"/>
      <c r="P25" s="5"/>
      <c r="Q25" s="5"/>
    </row>
    <row r="26" spans="2:17" s="2" customFormat="1" ht="15.75" customHeight="1">
      <c r="B26" s="79"/>
      <c r="C26" s="37"/>
      <c r="D26" s="37"/>
      <c r="E26" s="80"/>
      <c r="F26" s="81"/>
      <c r="G26" s="81"/>
      <c r="H26" s="82"/>
      <c r="I26" s="37"/>
      <c r="J26" s="37"/>
      <c r="K26" s="58"/>
      <c r="L26" s="12"/>
      <c r="M26" s="12"/>
      <c r="N26" s="12"/>
      <c r="O26" s="5"/>
      <c r="P26" s="5"/>
      <c r="Q26" s="5"/>
    </row>
    <row r="27" spans="2:17" s="2" customFormat="1" ht="15.75" customHeight="1">
      <c r="B27" s="47" t="s">
        <v>22</v>
      </c>
      <c r="C27" s="43"/>
      <c r="D27" s="43"/>
      <c r="E27" s="84">
        <f>(E24/H30)</f>
        <v>1.0173061224489797</v>
      </c>
      <c r="F27" s="85"/>
      <c r="G27" s="75"/>
      <c r="H27" s="43"/>
      <c r="I27" s="43"/>
      <c r="J27" s="43"/>
      <c r="K27" s="62"/>
      <c r="L27" s="12"/>
      <c r="M27" s="12"/>
      <c r="N27" s="12"/>
      <c r="O27" s="5"/>
      <c r="P27" s="5"/>
      <c r="Q27" s="5"/>
    </row>
    <row r="28" spans="2:17" s="2" customFormat="1" ht="15.75" customHeight="1">
      <c r="B28" s="47" t="s">
        <v>23</v>
      </c>
      <c r="C28" s="43"/>
      <c r="D28" s="43"/>
      <c r="E28" s="84">
        <f>(E25/H30)</f>
        <v>0.9928163265306122</v>
      </c>
      <c r="F28" s="85"/>
      <c r="G28" s="76"/>
      <c r="H28" s="43"/>
      <c r="I28" s="43"/>
      <c r="J28" s="43"/>
      <c r="K28" s="62"/>
      <c r="L28" s="12"/>
      <c r="M28" s="12"/>
      <c r="N28" s="12"/>
      <c r="O28" s="5"/>
      <c r="P28" s="5"/>
      <c r="Q28" s="5"/>
    </row>
    <row r="29" spans="2:17" s="2" customFormat="1" ht="15.75" customHeight="1">
      <c r="B29" s="83"/>
      <c r="C29" s="43"/>
      <c r="D29" s="43"/>
      <c r="E29" s="43"/>
      <c r="F29" s="43"/>
      <c r="G29" s="61"/>
      <c r="H29" s="43"/>
      <c r="I29" s="86"/>
      <c r="J29" s="86"/>
      <c r="K29" s="62"/>
      <c r="L29" s="12"/>
      <c r="M29" s="12"/>
      <c r="N29" s="12"/>
      <c r="O29" s="5"/>
      <c r="P29" s="5"/>
      <c r="Q29" s="5"/>
    </row>
    <row r="30" spans="2:17" s="2" customFormat="1" ht="15.75" customHeight="1">
      <c r="B30" s="47" t="s">
        <v>15</v>
      </c>
      <c r="C30" s="43"/>
      <c r="D30" s="87">
        <f>(D8-$E$17-((G8+H8/60)*G9))</f>
        <v>14.399999999999999</v>
      </c>
      <c r="E30" s="44" t="s">
        <v>16</v>
      </c>
      <c r="F30" s="44" t="s">
        <v>20</v>
      </c>
      <c r="G30" s="61"/>
      <c r="H30" s="88">
        <v>2450</v>
      </c>
      <c r="I30" s="43"/>
      <c r="J30" s="43"/>
      <c r="K30" s="62"/>
      <c r="L30" s="12"/>
      <c r="M30" s="12"/>
      <c r="N30" s="12"/>
      <c r="O30" s="5"/>
      <c r="P30" s="5"/>
      <c r="Q30" s="5"/>
    </row>
    <row r="31" spans="2:17" ht="17.25">
      <c r="B31" s="47" t="s">
        <v>17</v>
      </c>
      <c r="C31" s="43"/>
      <c r="D31" s="89">
        <f>INT(D30/G9)</f>
        <v>1</v>
      </c>
      <c r="E31" s="90" t="s">
        <v>18</v>
      </c>
      <c r="F31" s="44" t="s">
        <v>21</v>
      </c>
      <c r="G31" s="61"/>
      <c r="H31" s="88">
        <f>$H$30-$E$12</f>
        <v>858</v>
      </c>
      <c r="I31" s="43"/>
      <c r="J31" s="43"/>
      <c r="K31" s="62"/>
      <c r="L31" s="9"/>
      <c r="M31" s="9"/>
      <c r="N31" s="9"/>
      <c r="O31" s="4"/>
      <c r="P31" s="4"/>
      <c r="Q31" s="4"/>
    </row>
    <row r="32" spans="2:17" ht="18" thickBot="1">
      <c r="B32" s="91"/>
      <c r="C32" s="52"/>
      <c r="D32" s="92">
        <f>INT(((D30/G9)-INT(D30/G9))*60)</f>
        <v>26</v>
      </c>
      <c r="E32" s="93" t="s">
        <v>19</v>
      </c>
      <c r="F32" s="94"/>
      <c r="G32" s="65"/>
      <c r="H32" s="52"/>
      <c r="I32" s="52"/>
      <c r="J32" s="52"/>
      <c r="K32" s="66"/>
      <c r="L32" s="9"/>
      <c r="M32" s="9"/>
      <c r="N32" s="9"/>
      <c r="O32" s="4"/>
      <c r="P32" s="4"/>
      <c r="Q32" s="4"/>
    </row>
    <row r="33" spans="2:14" ht="15">
      <c r="B33" s="15"/>
      <c r="C33" s="16"/>
      <c r="D33" s="11"/>
      <c r="E33" s="14"/>
      <c r="F33" s="14"/>
      <c r="G33" s="17"/>
      <c r="H33" s="16"/>
      <c r="I33" s="16"/>
      <c r="J33" s="16"/>
      <c r="K33" s="16"/>
      <c r="L33" s="16"/>
      <c r="M33" s="16"/>
      <c r="N33" s="16"/>
    </row>
    <row r="34" spans="2:14" s="2" customFormat="1" ht="15.75" customHeight="1">
      <c r="B34" s="18"/>
      <c r="C34" s="18"/>
      <c r="D34" s="18"/>
      <c r="E34" s="19"/>
      <c r="F34" s="19"/>
      <c r="G34" s="20"/>
      <c r="H34" s="18"/>
      <c r="I34" s="18"/>
      <c r="J34" s="18"/>
      <c r="K34" s="18"/>
      <c r="L34" s="18"/>
      <c r="M34" s="18"/>
      <c r="N34" s="18"/>
    </row>
    <row r="35" spans="2:14" s="2" customFormat="1" ht="15.75" customHeight="1">
      <c r="B35" s="18"/>
      <c r="C35" s="18"/>
      <c r="D35" s="18"/>
      <c r="E35" s="19"/>
      <c r="F35" s="19"/>
      <c r="G35" s="21"/>
      <c r="H35" s="18"/>
      <c r="I35" s="18"/>
      <c r="J35" s="18"/>
      <c r="K35" s="18"/>
      <c r="L35" s="18"/>
      <c r="M35" s="18"/>
      <c r="N35" s="18"/>
    </row>
    <row r="36" spans="2:14" ht="12.75">
      <c r="B36" s="6"/>
      <c r="C36" s="6"/>
      <c r="D36" s="6"/>
      <c r="E36" s="6"/>
      <c r="F36" s="6"/>
      <c r="G36" s="7"/>
      <c r="H36" s="6"/>
      <c r="I36" s="6"/>
      <c r="J36" s="6"/>
      <c r="K36" s="6"/>
      <c r="L36" s="6"/>
      <c r="M36" s="6"/>
      <c r="N36" s="6"/>
    </row>
    <row r="37" spans="2:14" ht="12.75">
      <c r="B37" s="6"/>
      <c r="C37" s="6"/>
      <c r="D37" s="6"/>
      <c r="E37" s="6"/>
      <c r="F37" s="6"/>
      <c r="G37" s="7"/>
      <c r="H37" s="6"/>
      <c r="I37" s="6"/>
      <c r="J37" s="6"/>
      <c r="K37" s="6"/>
      <c r="L37" s="6"/>
      <c r="M37" s="6"/>
      <c r="N37" s="6"/>
    </row>
    <row r="38" spans="2:14" ht="12.75">
      <c r="B38" s="6"/>
      <c r="C38" s="117" t="s">
        <v>24</v>
      </c>
      <c r="D38" s="117"/>
      <c r="E38" s="6"/>
      <c r="F38" s="6"/>
      <c r="G38" s="7"/>
      <c r="H38" s="6"/>
      <c r="I38" s="6"/>
      <c r="J38" s="6"/>
      <c r="K38" s="6"/>
      <c r="L38" s="6"/>
      <c r="M38" s="6"/>
      <c r="N38" s="6"/>
    </row>
    <row r="39" spans="2:14" ht="12.75">
      <c r="B39" s="6"/>
      <c r="C39" s="22" t="s">
        <v>25</v>
      </c>
      <c r="D39" s="22" t="s">
        <v>26</v>
      </c>
      <c r="E39" s="6"/>
      <c r="F39" s="6"/>
      <c r="G39" s="7"/>
      <c r="H39" s="6"/>
      <c r="I39" s="6"/>
      <c r="J39" s="6"/>
      <c r="K39" s="6"/>
      <c r="L39" s="6"/>
      <c r="M39" s="6"/>
      <c r="N39" s="6"/>
    </row>
    <row r="40" spans="2:14" ht="12.75">
      <c r="B40" s="6"/>
      <c r="C40" s="23">
        <v>38.3</v>
      </c>
      <c r="D40" s="23">
        <v>1600</v>
      </c>
      <c r="E40" s="6"/>
      <c r="F40" s="6"/>
      <c r="G40" s="7"/>
      <c r="H40" s="6"/>
      <c r="I40" s="6"/>
      <c r="J40" s="6"/>
      <c r="K40" s="6"/>
      <c r="L40" s="6"/>
      <c r="M40" s="6"/>
      <c r="N40" s="6"/>
    </row>
    <row r="41" spans="2:14" ht="12.75">
      <c r="B41" s="6"/>
      <c r="C41" s="23">
        <v>38.3</v>
      </c>
      <c r="D41" s="23">
        <v>2138</v>
      </c>
      <c r="E41" s="6"/>
      <c r="F41" s="6"/>
      <c r="G41" s="7"/>
      <c r="H41" s="6"/>
      <c r="I41" s="6"/>
      <c r="J41" s="6"/>
      <c r="K41" s="6"/>
      <c r="L41" s="6"/>
      <c r="M41" s="6"/>
      <c r="N41" s="6"/>
    </row>
    <row r="42" spans="2:14" ht="12.75">
      <c r="B42" s="6"/>
      <c r="C42" s="23">
        <v>41.3</v>
      </c>
      <c r="D42" s="23">
        <v>2337</v>
      </c>
      <c r="E42" s="6"/>
      <c r="F42" s="6"/>
      <c r="G42" s="7"/>
      <c r="H42" s="6"/>
      <c r="I42" s="6"/>
      <c r="J42" s="6"/>
      <c r="K42" s="6"/>
      <c r="L42" s="6"/>
      <c r="M42" s="6"/>
      <c r="N42" s="6"/>
    </row>
    <row r="43" spans="2:14" ht="12.75">
      <c r="B43" s="6"/>
      <c r="C43" s="23">
        <v>47.4</v>
      </c>
      <c r="D43" s="23">
        <v>2337</v>
      </c>
      <c r="E43" s="6"/>
      <c r="F43" s="6"/>
      <c r="G43" s="7"/>
      <c r="H43" s="6"/>
      <c r="I43" s="6"/>
      <c r="J43" s="6"/>
      <c r="K43" s="6"/>
      <c r="L43" s="6"/>
      <c r="M43" s="6"/>
      <c r="N43" s="6"/>
    </row>
    <row r="44" spans="2:14" ht="12.75">
      <c r="B44" s="6"/>
      <c r="C44" s="23">
        <v>47.4</v>
      </c>
      <c r="D44" s="23">
        <v>1600</v>
      </c>
      <c r="E44" s="6"/>
      <c r="F44" s="6"/>
      <c r="G44" s="7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6"/>
      <c r="E45" s="6"/>
      <c r="F45" s="6"/>
      <c r="G45" s="7"/>
      <c r="H45" s="6"/>
      <c r="I45" s="6"/>
      <c r="J45" s="6"/>
      <c r="K45" s="6"/>
      <c r="L45" s="6"/>
      <c r="M45" s="6"/>
      <c r="N45" s="6"/>
    </row>
    <row r="46" spans="2:14" ht="12.75">
      <c r="B46" s="6"/>
      <c r="C46" s="24"/>
      <c r="D46" s="25"/>
      <c r="E46" s="6"/>
      <c r="F46" s="6"/>
      <c r="G46" s="7"/>
      <c r="H46" s="6"/>
      <c r="I46" s="6"/>
      <c r="J46" s="6"/>
      <c r="K46" s="6"/>
      <c r="L46" s="6"/>
      <c r="M46" s="6"/>
      <c r="N46" s="6"/>
    </row>
    <row r="47" spans="2:14" ht="12.75">
      <c r="B47" s="6"/>
      <c r="C47" s="6"/>
      <c r="D47" s="6"/>
      <c r="E47" s="6"/>
      <c r="F47" s="6"/>
      <c r="G47" s="7"/>
      <c r="H47" s="6"/>
      <c r="I47" s="6"/>
      <c r="J47" s="6"/>
      <c r="K47" s="6"/>
      <c r="L47" s="6"/>
      <c r="M47" s="6"/>
      <c r="N47" s="6"/>
    </row>
    <row r="48" spans="2:14" ht="12.75">
      <c r="B48" s="6"/>
      <c r="C48" s="6"/>
      <c r="D48" s="6"/>
      <c r="E48" s="6"/>
      <c r="F48" s="6"/>
      <c r="G48" s="7"/>
      <c r="H48" s="6"/>
      <c r="I48" s="6"/>
      <c r="J48" s="6"/>
      <c r="K48" s="6"/>
      <c r="L48" s="6"/>
      <c r="M48" s="6"/>
      <c r="N48" s="6"/>
    </row>
    <row r="49" spans="2:14" ht="12.75">
      <c r="B49" s="6"/>
      <c r="C49" s="6"/>
      <c r="D49" s="6"/>
      <c r="E49" s="6"/>
      <c r="F49" s="6"/>
      <c r="G49" s="7"/>
      <c r="H49" s="6"/>
      <c r="I49" s="6"/>
      <c r="J49" s="6"/>
      <c r="K49" s="6"/>
      <c r="L49" s="6"/>
      <c r="M49" s="6"/>
      <c r="N49" s="6"/>
    </row>
    <row r="50" spans="2:14" ht="12.75">
      <c r="B50" s="6"/>
      <c r="C50" s="6"/>
      <c r="D50" s="6"/>
      <c r="E50" s="6"/>
      <c r="F50" s="6"/>
      <c r="G50" s="7"/>
      <c r="H50" s="6"/>
      <c r="I50" s="6"/>
      <c r="J50" s="6"/>
      <c r="K50" s="6"/>
      <c r="L50" s="6"/>
      <c r="M50" s="6"/>
      <c r="N50" s="6"/>
    </row>
    <row r="51" spans="2:14" ht="12.75">
      <c r="B51" s="6"/>
      <c r="C51" s="6"/>
      <c r="D51" s="6"/>
      <c r="E51" s="6"/>
      <c r="F51" s="6"/>
      <c r="G51" s="7"/>
      <c r="H51" s="6"/>
      <c r="I51" s="6"/>
      <c r="J51" s="6"/>
      <c r="K51" s="6"/>
      <c r="L51" s="6"/>
      <c r="M51" s="6"/>
      <c r="N51" s="6"/>
    </row>
    <row r="52" spans="2:14" ht="12.75">
      <c r="B52" s="6"/>
      <c r="C52" s="6"/>
      <c r="D52" s="6"/>
      <c r="E52" s="6"/>
      <c r="F52" s="6"/>
      <c r="G52" s="7"/>
      <c r="H52" s="6"/>
      <c r="I52" s="6"/>
      <c r="J52" s="6"/>
      <c r="K52" s="6"/>
      <c r="L52" s="6"/>
      <c r="M52" s="6"/>
      <c r="N52" s="6"/>
    </row>
    <row r="53" spans="2:14" ht="12.75">
      <c r="B53" s="6"/>
      <c r="C53" s="6"/>
      <c r="D53" s="6"/>
      <c r="E53" s="6"/>
      <c r="F53" s="6"/>
      <c r="G53" s="7"/>
      <c r="H53" s="6"/>
      <c r="I53" s="6"/>
      <c r="J53" s="6"/>
      <c r="K53" s="6"/>
      <c r="L53" s="6"/>
      <c r="M53" s="6"/>
      <c r="N53" s="6"/>
    </row>
    <row r="54" spans="2:14" ht="12.75">
      <c r="B54" s="6"/>
      <c r="C54" s="6"/>
      <c r="D54" s="6"/>
      <c r="E54" s="6"/>
      <c r="F54" s="6"/>
      <c r="G54" s="7"/>
      <c r="H54" s="6"/>
      <c r="I54" s="6"/>
      <c r="J54" s="6"/>
      <c r="K54" s="6"/>
      <c r="L54" s="6"/>
      <c r="M54" s="6"/>
      <c r="N54" s="6"/>
    </row>
    <row r="55" spans="2:14" ht="12.75">
      <c r="B55" s="6"/>
      <c r="C55" s="6"/>
      <c r="D55" s="6"/>
      <c r="E55" s="6"/>
      <c r="F55" s="6"/>
      <c r="G55" s="7"/>
      <c r="H55" s="6"/>
      <c r="I55" s="6"/>
      <c r="J55" s="6"/>
      <c r="K55" s="6"/>
      <c r="L55" s="6"/>
      <c r="M55" s="6"/>
      <c r="N55" s="6"/>
    </row>
    <row r="56" spans="2:14" ht="12.75">
      <c r="B56" s="6"/>
      <c r="C56" s="6"/>
      <c r="D56" s="6"/>
      <c r="E56" s="6"/>
      <c r="F56" s="6"/>
      <c r="G56" s="7"/>
      <c r="H56" s="6"/>
      <c r="I56" s="6"/>
      <c r="J56" s="6"/>
      <c r="K56" s="6"/>
      <c r="L56" s="6"/>
      <c r="M56" s="6"/>
      <c r="N56" s="6"/>
    </row>
    <row r="57" spans="2:14" ht="12.75">
      <c r="B57" s="6"/>
      <c r="C57" s="6"/>
      <c r="D57" s="6"/>
      <c r="E57" s="6"/>
      <c r="F57" s="6"/>
      <c r="G57" s="7"/>
      <c r="H57" s="6"/>
      <c r="I57" s="6"/>
      <c r="J57" s="6"/>
      <c r="K57" s="6"/>
      <c r="L57" s="6"/>
      <c r="M57" s="6"/>
      <c r="N57" s="6"/>
    </row>
    <row r="58" spans="2:14" ht="12.75">
      <c r="B58" s="6"/>
      <c r="C58" s="6"/>
      <c r="D58" s="6"/>
      <c r="E58" s="6"/>
      <c r="F58" s="6"/>
      <c r="G58" s="7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7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7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7"/>
      <c r="H61" s="6"/>
      <c r="I61" s="6"/>
      <c r="J61" s="6"/>
      <c r="K61" s="6"/>
      <c r="L61" s="6"/>
      <c r="M61" s="6"/>
      <c r="N61" s="6"/>
    </row>
    <row r="62" spans="2:14" ht="15.7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</row>
    <row r="63" spans="2:12" ht="12.75">
      <c r="B63" s="6"/>
      <c r="C63" s="6"/>
      <c r="D63" s="6"/>
      <c r="E63" s="6"/>
      <c r="F63" s="6"/>
      <c r="G63" s="7"/>
      <c r="H63" s="6"/>
      <c r="I63" s="6"/>
      <c r="J63" s="6"/>
      <c r="K63" s="6"/>
      <c r="L63" s="6"/>
    </row>
    <row r="64" spans="2:12" ht="18">
      <c r="B64" s="6"/>
      <c r="C64" s="6"/>
      <c r="D64" s="114" t="s">
        <v>32</v>
      </c>
      <c r="E64" s="107"/>
      <c r="F64" s="107"/>
      <c r="G64" s="107"/>
      <c r="H64" s="107"/>
      <c r="I64" s="107"/>
      <c r="J64" s="107"/>
      <c r="L64" s="6"/>
    </row>
    <row r="65" spans="2:12" ht="18">
      <c r="B65" s="6"/>
      <c r="C65" s="6"/>
      <c r="D65" s="108" t="s">
        <v>35</v>
      </c>
      <c r="E65" s="109"/>
      <c r="F65" s="109"/>
      <c r="G65" s="109"/>
      <c r="H65" s="109"/>
      <c r="I65" s="109"/>
      <c r="J65" s="112"/>
      <c r="K65" s="6"/>
      <c r="L65" s="6"/>
    </row>
    <row r="66" spans="2:11" ht="18">
      <c r="B66" s="6"/>
      <c r="C66" s="6"/>
      <c r="D66" s="110" t="s">
        <v>33</v>
      </c>
      <c r="E66" s="111"/>
      <c r="F66" s="111"/>
      <c r="G66" s="111"/>
      <c r="H66" s="111"/>
      <c r="I66" s="111"/>
      <c r="J66" s="113"/>
      <c r="K66" s="6"/>
    </row>
    <row r="67" spans="2:14" ht="12.75">
      <c r="B67" s="6"/>
      <c r="C67" s="6"/>
      <c r="D67" s="6"/>
      <c r="E67" s="6"/>
      <c r="F67" s="6"/>
      <c r="G67" s="7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7"/>
      <c r="H68" s="6"/>
      <c r="I68" s="6"/>
      <c r="J68" s="6"/>
      <c r="K68" s="6"/>
      <c r="L68" s="6"/>
      <c r="M68" s="6"/>
      <c r="N68" s="6"/>
    </row>
  </sheetData>
  <sheetProtection/>
  <mergeCells count="3">
    <mergeCell ref="B62:N62"/>
    <mergeCell ref="C38:D38"/>
    <mergeCell ref="H20:I20"/>
  </mergeCells>
  <printOptions horizontalCentered="1"/>
  <pageMargins left="0.86" right="0.75" top="0.5118110236220472" bottom="0.1968503937007874" header="0.5118110236220472" footer="0.11811023622047245"/>
  <pageSetup fitToHeight="1" fitToWidth="1" horizontalDpi="300" verticalDpi="3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Socata TB Users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 CofG Utilities</dc:title>
  <dc:subject/>
  <dc:creator>Andrew Knott</dc:creator>
  <cp:keywords/>
  <dc:description/>
  <cp:lastModifiedBy>Madis</cp:lastModifiedBy>
  <cp:lastPrinted>2007-08-29T08:41:40Z</cp:lastPrinted>
  <dcterms:created xsi:type="dcterms:W3CDTF">1999-02-21T13:10:08Z</dcterms:created>
  <dcterms:modified xsi:type="dcterms:W3CDTF">2014-04-03T19:04:23Z</dcterms:modified>
  <cp:category/>
  <cp:version/>
  <cp:contentType/>
  <cp:contentStatus/>
</cp:coreProperties>
</file>